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iese Desenate\"/>
    </mc:Choice>
  </mc:AlternateContent>
  <bookViews>
    <workbookView xWindow="240" yWindow="48" windowWidth="21072" windowHeight="10032"/>
  </bookViews>
  <sheets>
    <sheet name="calcul fundatii" sheetId="2" r:id="rId1"/>
  </sheets>
  <calcPr calcId="152511"/>
</workbook>
</file>

<file path=xl/calcChain.xml><?xml version="1.0" encoding="utf-8"?>
<calcChain xmlns="http://schemas.openxmlformats.org/spreadsheetml/2006/main">
  <c r="E61" i="2" l="1"/>
  <c r="B30" i="2" l="1"/>
  <c r="K31" i="2"/>
  <c r="E60" i="2" s="1"/>
  <c r="K34" i="2"/>
  <c r="H7" i="2"/>
  <c r="F81" i="2"/>
  <c r="F76" i="2"/>
  <c r="F72" i="2" s="1"/>
  <c r="B35" i="2"/>
  <c r="B38" i="2" s="1"/>
  <c r="F31" i="2" s="1"/>
  <c r="H31" i="2" s="1"/>
  <c r="D7" i="2"/>
  <c r="B36" i="2" l="1"/>
  <c r="B39" i="2" s="1"/>
  <c r="C37" i="2"/>
  <c r="I49" i="2"/>
  <c r="F82" i="2"/>
  <c r="I79" i="2" s="1"/>
  <c r="I70" i="2"/>
  <c r="I74" i="2"/>
  <c r="H37" i="2"/>
  <c r="I41" i="2" s="1"/>
  <c r="I42" i="2" s="1"/>
  <c r="F52" i="2" s="1"/>
  <c r="F70" i="2"/>
  <c r="F79" i="2"/>
  <c r="I46" i="2"/>
  <c r="M79" i="2" l="1"/>
  <c r="M70" i="2"/>
  <c r="D46" i="2"/>
  <c r="K56" i="2" l="1"/>
  <c r="K53" i="2"/>
  <c r="K52" i="2"/>
  <c r="M52" i="2" s="1"/>
  <c r="C43" i="2" l="1"/>
  <c r="E73" i="2" l="1"/>
  <c r="H73" i="2"/>
  <c r="F33" i="2"/>
  <c r="H33" i="2" s="1"/>
  <c r="I43" i="2"/>
  <c r="F53" i="2" s="1"/>
  <c r="E74" i="2" l="1"/>
  <c r="L73" i="2"/>
  <c r="F57" i="2"/>
  <c r="F56" i="2"/>
  <c r="M56" i="2" s="1"/>
  <c r="M53" i="2"/>
  <c r="F75" i="2" l="1"/>
  <c r="F34" i="2"/>
  <c r="H34" i="2" s="1"/>
  <c r="L74" i="2"/>
</calcChain>
</file>

<file path=xl/sharedStrings.xml><?xml version="1.0" encoding="utf-8"?>
<sst xmlns="http://schemas.openxmlformats.org/spreadsheetml/2006/main" count="153" uniqueCount="94">
  <si>
    <t>kN</t>
  </si>
  <si>
    <t>kNm</t>
  </si>
  <si>
    <t>ls=</t>
  </si>
  <si>
    <t>bs=</t>
  </si>
  <si>
    <t>cm</t>
  </si>
  <si>
    <t>Ø</t>
  </si>
  <si>
    <t>mm2</t>
  </si>
  <si>
    <t>&gt;=</t>
  </si>
  <si>
    <t>L=</t>
  </si>
  <si>
    <t>B=</t>
  </si>
  <si>
    <t>Hp=</t>
  </si>
  <si>
    <t>hliber=</t>
  </si>
  <si>
    <t>C25/30</t>
  </si>
  <si>
    <t>fctm=</t>
  </si>
  <si>
    <t>Mpa</t>
  </si>
  <si>
    <t>Nstalpfinal=</t>
  </si>
  <si>
    <t>&lt;=</t>
  </si>
  <si>
    <t>N=</t>
  </si>
  <si>
    <t>bp=</t>
  </si>
  <si>
    <t>a0=</t>
  </si>
  <si>
    <t>cm2</t>
  </si>
  <si>
    <t>C16/20</t>
  </si>
  <si>
    <t>Ht=</t>
  </si>
  <si>
    <t>l1=</t>
  </si>
  <si>
    <t>kPa</t>
  </si>
  <si>
    <t>MPa</t>
  </si>
  <si>
    <t>kN/m2</t>
  </si>
  <si>
    <t>V=</t>
  </si>
  <si>
    <t>Beton fundatie:</t>
  </si>
  <si>
    <t>Beton monolitizare:</t>
  </si>
  <si>
    <r>
      <rPr>
        <u/>
        <sz val="11"/>
        <color theme="1"/>
        <rFont val="Calibri"/>
        <family val="2"/>
        <charset val="238"/>
        <scheme val="minor"/>
      </rPr>
      <t>Pconv</t>
    </r>
    <r>
      <rPr>
        <sz val="11"/>
        <color theme="1"/>
        <rFont val="Calibri"/>
        <family val="2"/>
        <charset val="238"/>
        <scheme val="minor"/>
      </rPr>
      <t>=</t>
    </r>
  </si>
  <si>
    <r>
      <t>Pcalc=</t>
    </r>
    <r>
      <rPr>
        <u/>
        <sz val="11"/>
        <color theme="1"/>
        <rFont val="Calibri"/>
        <family val="2"/>
        <charset val="238"/>
        <scheme val="minor"/>
      </rPr>
      <t>Pconv</t>
    </r>
    <r>
      <rPr>
        <sz val="11"/>
        <color theme="1"/>
        <rFont val="Calibri"/>
        <family val="2"/>
        <charset val="238"/>
        <scheme val="minor"/>
      </rPr>
      <t>+Cb+Cd=</t>
    </r>
  </si>
  <si>
    <t>k1=0,05 (pamanturi prafoase si coezive)</t>
  </si>
  <si>
    <t>k2=2 (pamanturi prafoase si coezive cu plasticitate redusa si mijlocie)</t>
  </si>
  <si>
    <r>
      <t>Cd=k2*</t>
    </r>
    <r>
      <rPr>
        <sz val="11"/>
        <color theme="1"/>
        <rFont val="Calibri"/>
        <family val="2"/>
        <charset val="238"/>
      </rPr>
      <t>γ*(Df-2)=</t>
    </r>
  </si>
  <si>
    <t>γ=</t>
  </si>
  <si>
    <t>kN/m3</t>
  </si>
  <si>
    <t>Med'=M+V*H=</t>
  </si>
  <si>
    <r>
      <t>Ned'=N+N</t>
    </r>
    <r>
      <rPr>
        <vertAlign val="subscript"/>
        <sz val="11"/>
        <color theme="1"/>
        <rFont val="Calibri"/>
        <family val="2"/>
        <charset val="238"/>
        <scheme val="minor"/>
      </rPr>
      <t>fundatie+umplutura</t>
    </r>
    <r>
      <rPr>
        <sz val="11"/>
        <color theme="1"/>
        <rFont val="Calibri"/>
        <family val="2"/>
        <charset val="238"/>
        <scheme val="minor"/>
      </rPr>
      <t>=</t>
    </r>
  </si>
  <si>
    <r>
      <t>N</t>
    </r>
    <r>
      <rPr>
        <vertAlign val="subscript"/>
        <sz val="11"/>
        <color theme="1"/>
        <rFont val="Calibri"/>
        <family val="2"/>
        <charset val="238"/>
        <scheme val="minor"/>
      </rPr>
      <t>fundatie+umplutura</t>
    </r>
    <r>
      <rPr>
        <sz val="11"/>
        <color theme="1"/>
        <rFont val="Calibri"/>
        <family val="2"/>
        <charset val="238"/>
        <scheme val="minor"/>
      </rPr>
      <t>=L*B*Df*γ=</t>
    </r>
  </si>
  <si>
    <t>1,6*Pcalc=</t>
  </si>
  <si>
    <t>Dimensiuni stalp</t>
  </si>
  <si>
    <t>Dimensiuni talpa fundatie</t>
  </si>
  <si>
    <t>Dimensiuni guler pahar</t>
  </si>
  <si>
    <t>b0=</t>
  </si>
  <si>
    <t>bp'=bp+5=</t>
  </si>
  <si>
    <t>Hf=Ht-10=</t>
  </si>
  <si>
    <t>H=Hf+Hp=</t>
  </si>
  <si>
    <t>→</t>
  </si>
  <si>
    <t>Df=H+100=</t>
  </si>
  <si>
    <t>b1=</t>
  </si>
  <si>
    <t>0,6*l1=</t>
  </si>
  <si>
    <t>1,5*P/(Hp*fctd)=</t>
  </si>
  <si>
    <t>fctd=0,7*fctm/1,5=</t>
  </si>
  <si>
    <t>Solicitari la baza stalpului</t>
  </si>
  <si>
    <t>Solicitari la baza fundatiei</t>
  </si>
  <si>
    <t>Presiunea de calcul</t>
  </si>
  <si>
    <t>Verificarea dimensiunilor in plan ale talpii fundatiei</t>
  </si>
  <si>
    <t>U=2*ls+2*bs+4*Hf=</t>
  </si>
  <si>
    <t>M/(3*ls*bs*fctd)=</t>
  </si>
  <si>
    <t>=0,75*U*Hf*fctd+Nav</t>
  </si>
  <si>
    <t>M1=0,8*(M-N*ls/2)=</t>
  </si>
  <si>
    <t>=0,4*M</t>
  </si>
  <si>
    <t>P=M1/(0,8*Hp)+T=</t>
  </si>
  <si>
    <t>=0,5*bp'*a0*fctd</t>
  </si>
  <si>
    <t>Aav_nec=0,6*P*Hp/(a0*fyd)=</t>
  </si>
  <si>
    <t>Aav_eff=</t>
  </si>
  <si>
    <t>(</t>
  </si>
  <si>
    <t>)</t>
  </si>
  <si>
    <r>
      <t>Nav=</t>
    </r>
    <r>
      <rPr>
        <sz val="11"/>
        <color theme="1"/>
        <rFont val="Calibri"/>
        <family val="2"/>
        <charset val="238"/>
      </rPr>
      <t>σav*Aav=100 N/mm2 *Aav=</t>
    </r>
  </si>
  <si>
    <t>Verificarea la strapungere in faza de montaj</t>
  </si>
  <si>
    <t>Verificarea la strapungere in faza finala</t>
  </si>
  <si>
    <t>As=(2*ls+2*bs)*Hp=</t>
  </si>
  <si>
    <t>N1cap=As*mbt*fctd=As*0,3*fctd=</t>
  </si>
  <si>
    <t>Nstalpfinal*(L*B-(ls+Hf)*(bs+Hf))/(L*B)=</t>
  </si>
  <si>
    <t>=0,75*U*Hf*fctd+Nav+N1cap</t>
  </si>
  <si>
    <t>In gruparea fundamentala:</t>
  </si>
  <si>
    <t>Pmed=Ned'/(L*B)=</t>
  </si>
  <si>
    <t>Pcalc=</t>
  </si>
  <si>
    <t>Pmax=Ned'/(L*B)+Med'/(L*L*B/6)=</t>
  </si>
  <si>
    <t>1,2*Pcalc=</t>
  </si>
  <si>
    <t>In gruparea speciala:</t>
  </si>
  <si>
    <t>P1=Ned'/(L*B)+Med'/(L*L*B/6)+Med'/(L*B*B/6)=</t>
  </si>
  <si>
    <t>P2=Ned'/(L*B)-Med'/(L*L*B/6)-Med'/(L*B*B/6)=</t>
  </si>
  <si>
    <t>&lt;</t>
  </si>
  <si>
    <t>PREDIMENSIONARE FUNDATIE IZOLATA MONOLITA</t>
  </si>
  <si>
    <t>M=1,3*Mrd=</t>
  </si>
  <si>
    <t>Verificarea grosimii talpii fundatiei Hf</t>
  </si>
  <si>
    <t>(faza de montaj - inainte de monolitizare)</t>
  </si>
  <si>
    <t>(faza finala - dupa monolitizare)</t>
  </si>
  <si>
    <t>Nstalpmontaj=</t>
  </si>
  <si>
    <t>Nstalpmontaj*(L*B-(ls+Hf)*(bs+Hf))/(L*B)=</t>
  </si>
  <si>
    <r>
      <t>Cb=</t>
    </r>
    <r>
      <rPr>
        <u/>
        <sz val="11"/>
        <color theme="1"/>
        <rFont val="Calibri"/>
        <family val="2"/>
        <charset val="238"/>
        <scheme val="minor"/>
      </rPr>
      <t>Pconv</t>
    </r>
    <r>
      <rPr>
        <sz val="11"/>
        <color theme="1"/>
        <rFont val="Calibri"/>
        <family val="2"/>
        <charset val="238"/>
        <scheme val="minor"/>
      </rPr>
      <t>*k1*(B-1)=</t>
    </r>
  </si>
  <si>
    <t>9. CALCULUL FUNDATIILOR PENTRU STALPII INTERIORI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</si>
</sst>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u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4" fontId="0" fillId="0" borderId="0" xfId="0" applyNumberFormat="1"/>
    <xf numFmtId="0" fontId="1" fillId="0" borderId="0" xfId="0" applyFont="1"/>
    <xf numFmtId="49" fontId="0" fillId="0" borderId="0" xfId="0" applyNumberFormat="1"/>
    <xf numFmtId="165" fontId="0" fillId="0" borderId="0" xfId="0" applyNumberFormat="1"/>
    <xf numFmtId="2" fontId="0" fillId="0" borderId="0" xfId="0" applyNumberFormat="1"/>
    <xf numFmtId="2" fontId="0" fillId="0" borderId="0" xfId="0" applyNumberFormat="1" applyAlignment="1"/>
    <xf numFmtId="4" fontId="1" fillId="0" borderId="0" xfId="0" applyNumberFormat="1" applyFont="1"/>
    <xf numFmtId="4" fontId="0" fillId="0" borderId="0" xfId="0" applyNumberFormat="1" applyAlignment="1"/>
    <xf numFmtId="0" fontId="0" fillId="0" borderId="0" xfId="0" applyFont="1"/>
    <xf numFmtId="4" fontId="0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99060</xdr:colOff>
          <xdr:row>8</xdr:row>
          <xdr:rowOff>0</xdr:rowOff>
        </xdr:from>
        <xdr:to>
          <xdr:col>7</xdr:col>
          <xdr:colOff>114300</xdr:colOff>
          <xdr:row>23</xdr:row>
          <xdr:rowOff>38100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83"/>
  <sheetViews>
    <sheetView tabSelected="1" workbookViewId="0">
      <selection activeCell="K13" sqref="K13"/>
    </sheetView>
  </sheetViews>
  <sheetFormatPr defaultRowHeight="14.4" x14ac:dyDescent="0.3"/>
  <cols>
    <col min="1" max="1" width="7.33203125" customWidth="1"/>
    <col min="2" max="2" width="5.44140625" customWidth="1"/>
    <col min="3" max="3" width="8.109375" customWidth="1"/>
    <col min="4" max="4" width="6.44140625" customWidth="1"/>
    <col min="5" max="5" width="17" bestFit="1" customWidth="1"/>
    <col min="6" max="6" width="9.33203125" customWidth="1"/>
    <col min="7" max="7" width="13" customWidth="1"/>
    <col min="8" max="8" width="7" bestFit="1" customWidth="1"/>
    <col min="9" max="9" width="8.6640625" customWidth="1"/>
    <col min="10" max="10" width="10" bestFit="1" customWidth="1"/>
    <col min="11" max="11" width="20.88671875" customWidth="1"/>
    <col min="12" max="12" width="11.88671875" customWidth="1"/>
    <col min="13" max="13" width="5.5546875" bestFit="1" customWidth="1"/>
    <col min="14" max="14" width="5" bestFit="1" customWidth="1"/>
    <col min="15" max="15" width="16.5546875" customWidth="1"/>
    <col min="18" max="18" width="5" customWidth="1"/>
    <col min="19" max="19" width="10" bestFit="1" customWidth="1"/>
  </cols>
  <sheetData>
    <row r="1" spans="1:14" ht="15.6" x14ac:dyDescent="0.3">
      <c r="A1" s="15" t="s">
        <v>93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4" x14ac:dyDescent="0.3">
      <c r="A2" s="13" t="s">
        <v>85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3">
      <c r="A3" t="s">
        <v>11</v>
      </c>
      <c r="B3">
        <v>1100</v>
      </c>
      <c r="C3" t="s">
        <v>4</v>
      </c>
    </row>
    <row r="5" spans="1:14" x14ac:dyDescent="0.3">
      <c r="A5" s="13" t="s">
        <v>28</v>
      </c>
      <c r="B5" s="13"/>
      <c r="C5" s="13"/>
      <c r="E5" t="s">
        <v>12</v>
      </c>
      <c r="F5" s="13" t="s">
        <v>29</v>
      </c>
      <c r="G5" s="13"/>
      <c r="H5" s="13"/>
      <c r="I5" t="s">
        <v>21</v>
      </c>
    </row>
    <row r="6" spans="1:14" x14ac:dyDescent="0.3">
      <c r="A6" s="12" t="s">
        <v>13</v>
      </c>
      <c r="B6" s="12"/>
      <c r="C6" s="12"/>
      <c r="D6">
        <v>2.6</v>
      </c>
      <c r="E6" s="4" t="s">
        <v>14</v>
      </c>
      <c r="F6" s="12" t="s">
        <v>13</v>
      </c>
      <c r="G6" s="12"/>
      <c r="H6">
        <v>1.9</v>
      </c>
      <c r="I6" s="4" t="s">
        <v>25</v>
      </c>
    </row>
    <row r="7" spans="1:14" x14ac:dyDescent="0.3">
      <c r="A7" s="12" t="s">
        <v>53</v>
      </c>
      <c r="B7" s="12"/>
      <c r="C7" s="12"/>
      <c r="D7" s="5">
        <f>0.7*D6/1.5</f>
        <v>1.2133333333333332</v>
      </c>
      <c r="E7" s="4" t="s">
        <v>14</v>
      </c>
      <c r="F7" s="12" t="s">
        <v>53</v>
      </c>
      <c r="G7" s="12"/>
      <c r="H7" s="5">
        <f>0.7*H6/1.5</f>
        <v>0.8866666666666666</v>
      </c>
      <c r="I7" s="4" t="s">
        <v>25</v>
      </c>
    </row>
    <row r="25" spans="1:12" x14ac:dyDescent="0.3">
      <c r="A25" s="3" t="s">
        <v>41</v>
      </c>
    </row>
    <row r="26" spans="1:12" x14ac:dyDescent="0.3">
      <c r="A26" t="s">
        <v>2</v>
      </c>
      <c r="B26">
        <v>85</v>
      </c>
      <c r="C26" t="s">
        <v>4</v>
      </c>
    </row>
    <row r="27" spans="1:12" x14ac:dyDescent="0.3">
      <c r="A27" t="s">
        <v>3</v>
      </c>
      <c r="B27">
        <v>85</v>
      </c>
      <c r="C27" t="s">
        <v>4</v>
      </c>
    </row>
    <row r="28" spans="1:12" x14ac:dyDescent="0.3">
      <c r="A28" s="3" t="s">
        <v>42</v>
      </c>
    </row>
    <row r="29" spans="1:12" x14ac:dyDescent="0.3">
      <c r="A29" t="s">
        <v>8</v>
      </c>
      <c r="B29">
        <v>390</v>
      </c>
      <c r="C29" t="s">
        <v>4</v>
      </c>
    </row>
    <row r="30" spans="1:12" x14ac:dyDescent="0.3">
      <c r="A30" t="s">
        <v>9</v>
      </c>
      <c r="B30">
        <f>B29</f>
        <v>390</v>
      </c>
      <c r="C30" t="s">
        <v>4</v>
      </c>
    </row>
    <row r="31" spans="1:12" x14ac:dyDescent="0.3">
      <c r="A31" t="s">
        <v>22</v>
      </c>
      <c r="B31">
        <v>60</v>
      </c>
      <c r="C31" t="s">
        <v>4</v>
      </c>
      <c r="D31" t="s">
        <v>7</v>
      </c>
      <c r="E31" t="s">
        <v>51</v>
      </c>
      <c r="F31">
        <f>0.6*B38</f>
        <v>55.5</v>
      </c>
      <c r="G31" t="s">
        <v>4</v>
      </c>
      <c r="H31" t="str">
        <f>IF(B31&gt;=F31,"OK!","NOT OK!")</f>
        <v>OK!</v>
      </c>
      <c r="I31" s="1" t="s">
        <v>48</v>
      </c>
      <c r="J31" t="s">
        <v>46</v>
      </c>
      <c r="K31">
        <f>B31-10</f>
        <v>50</v>
      </c>
      <c r="L31" t="s">
        <v>4</v>
      </c>
    </row>
    <row r="32" spans="1:12" x14ac:dyDescent="0.3">
      <c r="A32" s="3" t="s">
        <v>43</v>
      </c>
    </row>
    <row r="33" spans="1:12" x14ac:dyDescent="0.3">
      <c r="A33" t="s">
        <v>10</v>
      </c>
      <c r="B33">
        <v>150</v>
      </c>
      <c r="C33" t="s">
        <v>4</v>
      </c>
      <c r="D33" t="s">
        <v>7</v>
      </c>
      <c r="E33" t="s">
        <v>59</v>
      </c>
      <c r="F33" s="6" t="e">
        <f>C43*100000/(3*B26*B27*100*D7)</f>
        <v>#REF!</v>
      </c>
      <c r="G33" t="s">
        <v>4</v>
      </c>
      <c r="H33" t="e">
        <f>IF(B33&gt;=F33,"OK!","NOT OK!")</f>
        <v>#REF!</v>
      </c>
    </row>
    <row r="34" spans="1:12" x14ac:dyDescent="0.3">
      <c r="A34" t="s">
        <v>18</v>
      </c>
      <c r="B34">
        <v>50</v>
      </c>
      <c r="C34" t="s">
        <v>4</v>
      </c>
      <c r="D34" t="s">
        <v>7</v>
      </c>
      <c r="E34" t="s">
        <v>52</v>
      </c>
      <c r="F34" s="6" t="e">
        <f>1.5*E74/(B33/100*D7*1000)*100</f>
        <v>#REF!</v>
      </c>
      <c r="G34" t="s">
        <v>4</v>
      </c>
      <c r="H34" t="e">
        <f>IF(B34&gt;=F34,"OK!","NOT OK!")</f>
        <v>#REF!</v>
      </c>
      <c r="I34" t="s">
        <v>48</v>
      </c>
      <c r="J34" t="s">
        <v>45</v>
      </c>
      <c r="K34">
        <f>B34+5</f>
        <v>55</v>
      </c>
      <c r="L34" t="s">
        <v>4</v>
      </c>
    </row>
    <row r="35" spans="1:12" x14ac:dyDescent="0.3">
      <c r="A35" t="s">
        <v>19</v>
      </c>
      <c r="B35">
        <f>2*B34+B26+20</f>
        <v>205</v>
      </c>
      <c r="C35" t="s">
        <v>4</v>
      </c>
    </row>
    <row r="36" spans="1:12" x14ac:dyDescent="0.3">
      <c r="A36" t="s">
        <v>44</v>
      </c>
      <c r="B36">
        <f>B35</f>
        <v>205</v>
      </c>
      <c r="C36" t="s">
        <v>4</v>
      </c>
    </row>
    <row r="37" spans="1:12" x14ac:dyDescent="0.3">
      <c r="A37" t="s">
        <v>47</v>
      </c>
      <c r="C37">
        <f>K31+B33</f>
        <v>200</v>
      </c>
      <c r="D37" t="s">
        <v>4</v>
      </c>
      <c r="E37" t="s">
        <v>48</v>
      </c>
      <c r="F37" s="12" t="s">
        <v>49</v>
      </c>
      <c r="G37" s="12"/>
      <c r="H37">
        <f>K31+B33+100</f>
        <v>300</v>
      </c>
      <c r="I37" t="s">
        <v>4</v>
      </c>
    </row>
    <row r="38" spans="1:12" x14ac:dyDescent="0.3">
      <c r="A38" t="s">
        <v>23</v>
      </c>
      <c r="B38">
        <f>(B29-B35)/2</f>
        <v>92.5</v>
      </c>
      <c r="C38" t="s">
        <v>4</v>
      </c>
    </row>
    <row r="39" spans="1:12" x14ac:dyDescent="0.3">
      <c r="A39" t="s">
        <v>50</v>
      </c>
      <c r="B39">
        <f>(B30-B36)/2</f>
        <v>92.5</v>
      </c>
      <c r="C39" t="s">
        <v>4</v>
      </c>
    </row>
    <row r="40" spans="1:12" x14ac:dyDescent="0.3">
      <c r="A40" s="3" t="s">
        <v>54</v>
      </c>
      <c r="F40" s="3" t="s">
        <v>55</v>
      </c>
    </row>
    <row r="41" spans="1:12" ht="15.6" x14ac:dyDescent="0.35">
      <c r="A41" t="s">
        <v>27</v>
      </c>
      <c r="C41" s="12">
        <v>95</v>
      </c>
      <c r="D41" s="12"/>
      <c r="E41" t="s">
        <v>0</v>
      </c>
      <c r="F41" t="s">
        <v>39</v>
      </c>
      <c r="I41" s="2">
        <f>B29*B30*H37*G48/1000000</f>
        <v>821.34</v>
      </c>
      <c r="J41" t="s">
        <v>0</v>
      </c>
    </row>
    <row r="42" spans="1:12" ht="15.6" x14ac:dyDescent="0.35">
      <c r="A42" t="s">
        <v>17</v>
      </c>
      <c r="C42" s="12">
        <v>2085.6799999999998</v>
      </c>
      <c r="D42" s="12"/>
      <c r="E42" t="s">
        <v>0</v>
      </c>
      <c r="F42" t="s">
        <v>38</v>
      </c>
      <c r="I42" s="2">
        <f>E62+I41</f>
        <v>2907.02</v>
      </c>
      <c r="J42" t="s">
        <v>0</v>
      </c>
    </row>
    <row r="43" spans="1:12" x14ac:dyDescent="0.3">
      <c r="A43" t="s">
        <v>86</v>
      </c>
      <c r="C43" s="14" t="e">
        <f>1.3*#REF!</f>
        <v>#REF!</v>
      </c>
      <c r="D43" s="14"/>
      <c r="E43" t="s">
        <v>1</v>
      </c>
      <c r="F43" t="s">
        <v>37</v>
      </c>
      <c r="I43" s="2" t="e">
        <f>C43+C41*(K31+B33)/100</f>
        <v>#REF!</v>
      </c>
      <c r="J43" t="s">
        <v>1</v>
      </c>
    </row>
    <row r="44" spans="1:12" x14ac:dyDescent="0.3">
      <c r="A44" s="3" t="s">
        <v>56</v>
      </c>
    </row>
    <row r="45" spans="1:12" x14ac:dyDescent="0.3">
      <c r="A45" t="s">
        <v>30</v>
      </c>
      <c r="D45">
        <v>250</v>
      </c>
      <c r="E45" t="s">
        <v>24</v>
      </c>
      <c r="F45" t="s">
        <v>32</v>
      </c>
    </row>
    <row r="46" spans="1:12" ht="18" customHeight="1" x14ac:dyDescent="0.3">
      <c r="A46" t="s">
        <v>31</v>
      </c>
      <c r="D46">
        <f>D45+I46+I49</f>
        <v>322.25</v>
      </c>
      <c r="E46" t="s">
        <v>24</v>
      </c>
      <c r="F46" t="s">
        <v>92</v>
      </c>
      <c r="I46">
        <f>D45*0.05*(B30/100-1)</f>
        <v>36.25</v>
      </c>
      <c r="J46" t="s">
        <v>24</v>
      </c>
    </row>
    <row r="47" spans="1:12" x14ac:dyDescent="0.3">
      <c r="F47" t="s">
        <v>33</v>
      </c>
    </row>
    <row r="48" spans="1:12" x14ac:dyDescent="0.3">
      <c r="F48" s="1" t="s">
        <v>35</v>
      </c>
      <c r="G48">
        <v>18</v>
      </c>
      <c r="H48" t="s">
        <v>36</v>
      </c>
    </row>
    <row r="49" spans="1:13" x14ac:dyDescent="0.3">
      <c r="F49" t="s">
        <v>34</v>
      </c>
      <c r="I49">
        <f>2*G48*((K31+B33+100)/100-2)</f>
        <v>36</v>
      </c>
      <c r="J49" t="s">
        <v>24</v>
      </c>
    </row>
    <row r="50" spans="1:13" x14ac:dyDescent="0.3">
      <c r="A50" s="3" t="s">
        <v>57</v>
      </c>
    </row>
    <row r="51" spans="1:13" x14ac:dyDescent="0.3">
      <c r="A51" s="10" t="s">
        <v>76</v>
      </c>
    </row>
    <row r="52" spans="1:13" x14ac:dyDescent="0.3">
      <c r="A52" s="10" t="s">
        <v>77</v>
      </c>
      <c r="B52" s="10"/>
      <c r="C52" s="10"/>
      <c r="D52" s="10"/>
      <c r="E52" s="10"/>
      <c r="F52" s="11">
        <f>I42/(B29/100*B30/100)</f>
        <v>191.12557527942141</v>
      </c>
      <c r="G52" t="s">
        <v>26</v>
      </c>
      <c r="H52" t="s">
        <v>16</v>
      </c>
      <c r="I52" t="s">
        <v>78</v>
      </c>
      <c r="K52">
        <f>D46</f>
        <v>322.25</v>
      </c>
      <c r="L52" t="s">
        <v>26</v>
      </c>
      <c r="M52" t="str">
        <f>IF(F52&lt;=K52,"OK!","NOT OK!")</f>
        <v>OK!</v>
      </c>
    </row>
    <row r="53" spans="1:13" x14ac:dyDescent="0.3">
      <c r="A53" s="10" t="s">
        <v>79</v>
      </c>
      <c r="B53" s="10"/>
      <c r="C53" s="10"/>
      <c r="D53" s="10"/>
      <c r="E53" s="10"/>
      <c r="F53" s="2" t="e">
        <f>I42/(B29*B30/10000)+I43/(B29*B29*B30/6000000)</f>
        <v>#REF!</v>
      </c>
      <c r="G53" t="s">
        <v>26</v>
      </c>
      <c r="H53" t="s">
        <v>16</v>
      </c>
      <c r="I53" t="s">
        <v>80</v>
      </c>
      <c r="K53">
        <f>D46*1.2</f>
        <v>386.7</v>
      </c>
      <c r="L53" t="s">
        <v>26</v>
      </c>
      <c r="M53" t="e">
        <f>IF(F53&lt;=K53,"OK!","NOT OK!")</f>
        <v>#REF!</v>
      </c>
    </row>
    <row r="54" spans="1:13" x14ac:dyDescent="0.3">
      <c r="A54" s="10"/>
      <c r="B54" s="10"/>
      <c r="C54" s="10"/>
      <c r="D54" s="10"/>
      <c r="E54" s="10"/>
      <c r="F54" s="10"/>
      <c r="G54" s="10"/>
      <c r="H54" s="10"/>
    </row>
    <row r="55" spans="1:13" x14ac:dyDescent="0.3">
      <c r="A55" s="10" t="s">
        <v>81</v>
      </c>
      <c r="B55" s="10"/>
      <c r="C55" s="10"/>
      <c r="D55" s="10"/>
      <c r="E55" s="10"/>
      <c r="F55" s="10"/>
      <c r="G55" s="10"/>
      <c r="H55" s="10"/>
    </row>
    <row r="56" spans="1:13" x14ac:dyDescent="0.3">
      <c r="A56" t="s">
        <v>82</v>
      </c>
      <c r="F56" s="2" t="e">
        <f>I42/(B29*B30/10000)+2*I43/(B29*B29*B29/6000000)</f>
        <v>#REF!</v>
      </c>
      <c r="G56" t="s">
        <v>26</v>
      </c>
      <c r="H56" t="s">
        <v>16</v>
      </c>
      <c r="I56" t="s">
        <v>40</v>
      </c>
      <c r="K56">
        <f>D46*1.6</f>
        <v>515.6</v>
      </c>
      <c r="L56" t="s">
        <v>26</v>
      </c>
      <c r="M56" t="e">
        <f>IF(F56&lt;=K56,"OK!","NOT OK!")</f>
        <v>#REF!</v>
      </c>
    </row>
    <row r="57" spans="1:13" x14ac:dyDescent="0.3">
      <c r="A57" t="s">
        <v>83</v>
      </c>
      <c r="F57" s="2" t="e">
        <f>I42/(B29*B30/10000)-2*I43/(B29*B29*B29/6000000)</f>
        <v>#REF!</v>
      </c>
      <c r="G57" t="s">
        <v>26</v>
      </c>
      <c r="H57" t="s">
        <v>84</v>
      </c>
      <c r="I57">
        <v>0</v>
      </c>
    </row>
    <row r="60" spans="1:13" x14ac:dyDescent="0.3">
      <c r="A60" t="s">
        <v>58</v>
      </c>
      <c r="E60">
        <f>2*B26+2*B27+4*K31</f>
        <v>540</v>
      </c>
      <c r="F60" t="s">
        <v>4</v>
      </c>
    </row>
    <row r="61" spans="1:13" x14ac:dyDescent="0.3">
      <c r="A61" t="s">
        <v>90</v>
      </c>
      <c r="E61" s="2">
        <f>E62-548*1.5</f>
        <v>1263.6799999999998</v>
      </c>
      <c r="F61" t="s">
        <v>0</v>
      </c>
      <c r="G61" t="s">
        <v>88</v>
      </c>
    </row>
    <row r="62" spans="1:13" x14ac:dyDescent="0.3">
      <c r="A62" t="s">
        <v>15</v>
      </c>
      <c r="E62" s="2">
        <v>2085.6799999999998</v>
      </c>
      <c r="F62" t="s">
        <v>0</v>
      </c>
      <c r="G62" t="s">
        <v>89</v>
      </c>
    </row>
    <row r="63" spans="1:13" x14ac:dyDescent="0.3">
      <c r="E63" s="2"/>
    </row>
    <row r="64" spans="1:13" x14ac:dyDescent="0.3">
      <c r="E64" s="2"/>
    </row>
    <row r="65" spans="1:13" x14ac:dyDescent="0.3">
      <c r="E65" s="2"/>
    </row>
    <row r="66" spans="1:13" x14ac:dyDescent="0.3">
      <c r="E66" s="2"/>
    </row>
    <row r="67" spans="1:13" x14ac:dyDescent="0.3">
      <c r="A67" s="3" t="s">
        <v>87</v>
      </c>
      <c r="E67" s="2"/>
    </row>
    <row r="69" spans="1:13" x14ac:dyDescent="0.3">
      <c r="A69" s="3" t="s">
        <v>70</v>
      </c>
    </row>
    <row r="70" spans="1:13" x14ac:dyDescent="0.3">
      <c r="A70" t="s">
        <v>91</v>
      </c>
      <c r="F70" s="8">
        <f>E61*(B29/100*B30/100-(B26+K31)*(B27+K31)/10000)/(B29*B30/10000)</f>
        <v>1112.2627218934911</v>
      </c>
      <c r="G70" t="s">
        <v>0</v>
      </c>
      <c r="H70" s="3" t="s">
        <v>16</v>
      </c>
      <c r="I70" s="8">
        <f>0.75*E60/100*K31/100*D7*1000+F72</f>
        <v>3241.1415263360118</v>
      </c>
      <c r="J70" t="s">
        <v>0</v>
      </c>
      <c r="K70" s="4" t="s">
        <v>60</v>
      </c>
      <c r="M70" t="str">
        <f>IF(I70&gt;=F70,"OK!","NOT OK!")</f>
        <v>OK!</v>
      </c>
    </row>
    <row r="72" spans="1:13" x14ac:dyDescent="0.3">
      <c r="A72" t="s">
        <v>69</v>
      </c>
      <c r="F72" s="2">
        <f>100*F76/1000</f>
        <v>784.14152633601225</v>
      </c>
      <c r="G72" t="s">
        <v>0</v>
      </c>
    </row>
    <row r="73" spans="1:13" x14ac:dyDescent="0.3">
      <c r="A73" t="s">
        <v>61</v>
      </c>
      <c r="E73" s="2" t="e">
        <f>0.8*(C43-C42*B26/300)</f>
        <v>#REF!</v>
      </c>
      <c r="F73" t="s">
        <v>1</v>
      </c>
      <c r="G73" t="s">
        <v>7</v>
      </c>
      <c r="H73" t="e">
        <f>0.4*C43</f>
        <v>#REF!</v>
      </c>
      <c r="I73" t="s">
        <v>1</v>
      </c>
      <c r="J73" s="4" t="s">
        <v>62</v>
      </c>
      <c r="L73" t="e">
        <f>IF(E73&gt;=H73,"OK!","NOT OK!")</f>
        <v>#REF!</v>
      </c>
    </row>
    <row r="74" spans="1:13" x14ac:dyDescent="0.3">
      <c r="A74" t="s">
        <v>63</v>
      </c>
      <c r="E74" s="2" t="e">
        <f>E73/(0.8*B33/100)+C41</f>
        <v>#REF!</v>
      </c>
      <c r="G74" t="s">
        <v>0</v>
      </c>
      <c r="H74" t="s">
        <v>16</v>
      </c>
      <c r="I74" s="2">
        <f>0.5*K34*B35*D7/10</f>
        <v>684.01666666666665</v>
      </c>
      <c r="J74" t="s">
        <v>0</v>
      </c>
      <c r="K74" s="4" t="s">
        <v>64</v>
      </c>
      <c r="L74" t="e">
        <f>IF(E74&lt;=I74,"OK!","NOT OK!")</f>
        <v>#REF!</v>
      </c>
    </row>
    <row r="75" spans="1:13" x14ac:dyDescent="0.3">
      <c r="A75" t="s">
        <v>65</v>
      </c>
      <c r="F75" s="2" t="e">
        <f>0.6*E74*B33/100/(B35/100*500/1.15*1000)*1000000</f>
        <v>#REF!</v>
      </c>
      <c r="G75" t="s">
        <v>6</v>
      </c>
    </row>
    <row r="76" spans="1:13" x14ac:dyDescent="0.3">
      <c r="A76" t="s">
        <v>66</v>
      </c>
      <c r="F76" s="6">
        <f>I76*PI()*K76*K76/4</f>
        <v>7841.4152633601234</v>
      </c>
      <c r="G76" t="s">
        <v>6</v>
      </c>
      <c r="H76" t="s">
        <v>67</v>
      </c>
      <c r="I76">
        <v>39</v>
      </c>
      <c r="J76" s="1" t="s">
        <v>5</v>
      </c>
      <c r="K76">
        <v>16</v>
      </c>
      <c r="L76" t="s">
        <v>68</v>
      </c>
    </row>
    <row r="78" spans="1:13" x14ac:dyDescent="0.3">
      <c r="A78" s="3" t="s">
        <v>71</v>
      </c>
    </row>
    <row r="79" spans="1:13" x14ac:dyDescent="0.3">
      <c r="A79" t="s">
        <v>74</v>
      </c>
      <c r="F79" s="2">
        <f>E62*(B29*B30/10000-(B26+K31)*(B27+K31)/10000)/(B29*B30/10000)</f>
        <v>1835.7686390532544</v>
      </c>
      <c r="G79" t="s">
        <v>0</v>
      </c>
      <c r="H79" s="3" t="s">
        <v>16</v>
      </c>
      <c r="I79" s="9">
        <f>0.75*E60/100*K31/100*D7*1000+F72+F82</f>
        <v>4597.7415263360117</v>
      </c>
      <c r="J79" t="s">
        <v>0</v>
      </c>
      <c r="K79" s="4" t="s">
        <v>75</v>
      </c>
      <c r="M79" t="str">
        <f>IF(I79&gt;=F79,"OK!","NOT OK!")</f>
        <v>OK!</v>
      </c>
    </row>
    <row r="81" spans="1:7" x14ac:dyDescent="0.3">
      <c r="A81" t="s">
        <v>72</v>
      </c>
      <c r="F81" s="9">
        <f>(2*B26+2*B27)*B33</f>
        <v>51000</v>
      </c>
      <c r="G81" t="s">
        <v>20</v>
      </c>
    </row>
    <row r="82" spans="1:7" x14ac:dyDescent="0.3">
      <c r="A82" t="s">
        <v>73</v>
      </c>
      <c r="F82" s="2">
        <f>F81/10000*0.3*H7*1000</f>
        <v>1356.6</v>
      </c>
      <c r="G82" t="s">
        <v>0</v>
      </c>
    </row>
    <row r="83" spans="1:7" x14ac:dyDescent="0.3">
      <c r="E83" s="7"/>
    </row>
  </sheetData>
  <mergeCells count="12">
    <mergeCell ref="A1:M1"/>
    <mergeCell ref="C41:D41"/>
    <mergeCell ref="C42:D42"/>
    <mergeCell ref="C43:D43"/>
    <mergeCell ref="A2:N2"/>
    <mergeCell ref="F5:H5"/>
    <mergeCell ref="F37:G37"/>
    <mergeCell ref="A5:C5"/>
    <mergeCell ref="F6:G6"/>
    <mergeCell ref="F7:G7"/>
    <mergeCell ref="A7:C7"/>
    <mergeCell ref="A6:C6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  <drawing r:id="rId2"/>
  <legacyDrawing r:id="rId3"/>
  <oleObjects>
    <mc:AlternateContent xmlns:mc="http://schemas.openxmlformats.org/markup-compatibility/2006">
      <mc:Choice Requires="x14">
        <oleObject progId="AutoCAD.Drawing.18" shapeId="1026" r:id="rId4">
          <objectPr defaultSize="0" autoPict="0" r:id="rId5">
            <anchor moveWithCells="1">
              <from>
                <xdr:col>2</xdr:col>
                <xdr:colOff>99060</xdr:colOff>
                <xdr:row>8</xdr:row>
                <xdr:rowOff>0</xdr:rowOff>
              </from>
              <to>
                <xdr:col>7</xdr:col>
                <xdr:colOff>114300</xdr:colOff>
                <xdr:row>23</xdr:row>
                <xdr:rowOff>38100</xdr:rowOff>
              </to>
            </anchor>
          </objectPr>
        </oleObject>
      </mc:Choice>
      <mc:Fallback>
        <oleObject progId="AutoCAD.Drawing.18" shapeId="102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calcul fundatii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Florin</dc:creator>
  <cp:lastModifiedBy>Mihai</cp:lastModifiedBy>
  <cp:lastPrinted>2014-09-02T18:21:14Z</cp:lastPrinted>
  <dcterms:created xsi:type="dcterms:W3CDTF">2014-07-06T08:30:36Z</dcterms:created>
  <dcterms:modified xsi:type="dcterms:W3CDTF">2015-01-12T14:00:33Z</dcterms:modified>
</cp:coreProperties>
</file>